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Октябрь 2020\"/>
    </mc:Choice>
  </mc:AlternateContent>
  <xr:revisionPtr revIDLastSave="0" documentId="13_ncr:1_{CC822A59-5E08-426C-86CB-4E8B3916EE0B}" xr6:coauthVersionLast="45" xr6:coauthVersionMax="45" xr10:uidLastSave="{00000000-0000-0000-0000-000000000000}"/>
  <bookViews>
    <workbookView xWindow="-120" yWindow="-120" windowWidth="20730" windowHeight="11160" tabRatio="856" activeTab="1" xr2:uid="{00000000-000D-0000-FFFF-FFFF00000000}"/>
  </bookViews>
  <sheets>
    <sheet name="Общ. счетчики" sheetId="1" r:id="rId1"/>
    <sheet name="корп. 3" sheetId="11" r:id="rId2"/>
    <sheet name="Норматив ээ" sheetId="12" r:id="rId3"/>
    <sheet name="Справка по ОПУ и ИПУ" sheetId="13" r:id="rId4"/>
  </sheets>
  <externalReferences>
    <externalReference r:id="rId5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C8" i="11" l="1"/>
  <c r="F8" i="13" l="1"/>
  <c r="F7" i="13"/>
  <c r="E7" i="13" s="1"/>
  <c r="G6" i="13" l="1"/>
  <c r="F6" i="13"/>
  <c r="D10" i="11"/>
  <c r="E6" i="13" l="1"/>
  <c r="E5" i="13" s="1"/>
  <c r="D13" i="11" l="1"/>
  <c r="C9" i="12" l="1"/>
  <c r="E9" i="13" l="1"/>
  <c r="C16" i="11" l="1"/>
  <c r="E29" i="1" l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E4" i="12" l="1"/>
  <c r="D11" i="12"/>
  <c r="F9" i="13" l="1"/>
  <c r="E60" i="1" l="1"/>
  <c r="G60" i="1" s="1"/>
  <c r="E59" i="1"/>
  <c r="G59" i="1" s="1"/>
  <c r="C11" i="12" l="1"/>
  <c r="E8" i="11"/>
  <c r="H6" i="12"/>
  <c r="G5" i="12"/>
  <c r="E14" i="11" l="1"/>
  <c r="E13" i="11"/>
  <c r="E12" i="11"/>
  <c r="H5" i="12" l="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B11" i="12" l="1"/>
  <c r="G7" i="12" l="1"/>
  <c r="H7" i="12" s="1"/>
  <c r="G8" i="12"/>
  <c r="H8" i="12" s="1"/>
  <c r="H9" i="12"/>
  <c r="G4" i="12" l="1"/>
  <c r="G11" i="12" l="1"/>
  <c r="H11" i="12" s="1"/>
  <c r="H4" i="12"/>
  <c r="H29" i="12" l="1"/>
  <c r="E11" i="12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H22" i="12" s="1"/>
  <c r="H27" i="12"/>
  <c r="H28" i="12"/>
  <c r="H25" i="12" l="1"/>
  <c r="E7" i="11"/>
  <c r="H26" i="12" l="1"/>
  <c r="E11" i="11" l="1"/>
  <c r="E10" i="11"/>
  <c r="E16" i="11" l="1"/>
  <c r="E20" i="11" s="1"/>
  <c r="H24" i="12"/>
  <c r="H30" i="12" s="1"/>
  <c r="H23" i="12" l="1"/>
  <c r="E10" i="13" s="1"/>
</calcChain>
</file>

<file path=xl/sharedStrings.xml><?xml version="1.0" encoding="utf-8"?>
<sst xmlns="http://schemas.openxmlformats.org/spreadsheetml/2006/main" count="151" uniqueCount="115">
  <si>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</si>
  <si>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</si>
  <si>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</si>
  <si>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</si>
  <si>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</si>
  <si>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</si>
  <si>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</si>
  <si>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</si>
  <si>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</si>
  <si>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</si>
  <si>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</si>
  <si>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</si>
  <si>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</si>
  <si>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</si>
  <si>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</si>
  <si>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</si>
  <si>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</si>
  <si>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</si>
  <si>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</si>
  <si>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</si>
  <si>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</si>
  <si>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</si>
  <si>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</si>
  <si>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</si>
  <si>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</si>
  <si>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Корпус 2</t>
  </si>
  <si>
    <t>Корпус 1</t>
  </si>
  <si>
    <t>Корпус 6</t>
  </si>
  <si>
    <t>Из них на Офисы</t>
  </si>
  <si>
    <t>Всего по Жилкомплексу</t>
  </si>
  <si>
    <t>ОТЧЕТ</t>
  </si>
  <si>
    <t>Корпус 3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</si>
  <si>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</si>
  <si>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</si>
  <si>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</si>
  <si>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</si>
  <si>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</si>
  <si>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</si>
  <si>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</si>
  <si>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</si>
  <si>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</si>
  <si>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</si>
  <si>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</si>
  <si>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</si>
  <si>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</si>
  <si>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</si>
  <si>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</si>
  <si>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</si>
  <si>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корпус 1</t>
  </si>
  <si>
    <t>корпус 2</t>
  </si>
  <si>
    <t>корпус 3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</si>
  <si>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</si>
  <si>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</si>
  <si>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</si>
  <si>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</si>
  <si>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</si>
  <si>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</si>
  <si>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</si>
  <si>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</si>
  <si>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</si>
  <si>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</si>
  <si>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</si>
  <si>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</si>
  <si>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</si>
  <si>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</si>
  <si>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</si>
  <si>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</si>
  <si>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</si>
  <si>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</si>
  <si>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</si>
  <si>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</si>
  <si>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</si>
  <si>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</si>
  <si>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</si>
  <si>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</si>
  <si>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</si>
  <si>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</si>
  <si>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Корпус 7</t>
  </si>
  <si>
    <t>Офисы № 1,2,3,4,5,6,7,9</t>
  </si>
  <si>
    <t>Норматив, кВт/ч</t>
  </si>
  <si>
    <t>Расход электроэнергии по корпусу 7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</si>
  <si>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</si>
  <si>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</si>
  <si>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</si>
  <si>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</si>
  <si>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</si>
  <si>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</si>
  <si>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</si>
  <si>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</si>
  <si>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корпус 6</t>
  </si>
  <si>
    <t>28737396</t>
  </si>
  <si>
    <t>29993313</t>
  </si>
  <si>
    <t>29993646</t>
  </si>
  <si>
    <t>29993290</t>
  </si>
  <si>
    <t>29993615</t>
  </si>
  <si>
    <t>29993962</t>
  </si>
  <si>
    <t>29993111</t>
  </si>
  <si>
    <t>Подвал и чердаки, кв.м.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</si>
  <si>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</si>
  <si>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</si>
  <si>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</si>
  <si>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</si>
  <si>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Размер оплаты электроснабжение ОДН, кВт*ч/кв.м.</t>
  </si>
  <si>
    <t>ОДН электроснабжение</t>
  </si>
  <si>
    <t>Расчет норматива по электроснабжению на общедомовые нужды между всеми помещениями жилого комплекса "Дубки"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</si>
  <si>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</si>
  <si>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</si>
  <si>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</si>
  <si>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</si>
  <si>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</si>
  <si>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</si>
  <si>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</si>
  <si>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22.09.2020г. по  21.10.2020г.</t>
  </si>
  <si>
    <t>Октябрь 2020 года</t>
  </si>
  <si>
    <t>СПРАВОЧНАЯ ИНФОРМАЦИЯ потребление коммунальных услуг в здании по адресу г.Химки, ул.Лавочкина, д.13 октябрь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</si>
</sst>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6" formatCode="_-* #,##0.00_р_._-;\-* #,##0.00_р_._-;_-* &quot;-&quot;??_р_._-;_-@_-"/>
    <numFmt numFmtId="168" formatCode="_-* #,##0_р_._-;\-* #,##0_р_._-;_-* &quot;-&quot;??_р_._-;_-@_-"/>
    <numFmt numFmtId="173" formatCode="0.0"/>
    <numFmt numFmtId="177" formatCode="_-* #,##0.0000_р_._-;\-* #,##0.0000_р_._-;_-* &quot;-&quot;??_р_._-;_-@_-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b/>
      <i/>
      <u val="singleAccounting"/>
      <sz val="10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5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0" xfId="0" applyFont="1"/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0" fillId="0" borderId="7" xfId="0" applyBorder="1" applyAlignment="1">
      <alignment wrapText="1"/>
    </xf>
    <xf numFmtId="166" fontId="4" fillId="6" borderId="7" xfId="1" applyFont="1" applyFill="1" applyBorder="1" applyAlignment="1">
      <alignment wrapText="1"/>
    </xf>
    <xf numFmtId="166" fontId="4" fillId="6" borderId="0" xfId="1" applyFont="1" applyFill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68" fontId="4" fillId="0" borderId="0" xfId="1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0" fillId="0" borderId="0" xfId="1" applyNumberFormat="1" applyFont="1" applyAlignment="1">
      <alignment wrapText="1"/>
    </xf>
    <xf numFmtId="168" fontId="4" fillId="0" borderId="0" xfId="0" applyNumberFormat="1" applyFont="1" applyAlignment="1">
      <alignment wrapText="1"/>
    </xf>
    <xf numFmtId="168" fontId="9" fillId="0" borderId="0" xfId="1" applyNumberFormat="1" applyFont="1" applyAlignment="1">
      <alignment wrapText="1"/>
    </xf>
    <xf numFmtId="164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66" fontId="0" fillId="0" borderId="0" xfId="1" applyFont="1" applyAlignment="1">
      <alignment wrapText="1"/>
    </xf>
    <xf numFmtId="1" fontId="4" fillId="5" borderId="2" xfId="0" applyNumberFormat="1" applyFont="1" applyFill="1" applyBorder="1" applyAlignment="1">
      <alignment horizontal="left"/>
    </xf>
    <xf numFmtId="168" fontId="0" fillId="0" borderId="0" xfId="1" applyNumberFormat="1" applyFont="1" applyAlignment="1">
      <alignment horizontal="right" wrapText="1"/>
    </xf>
    <xf numFmtId="1" fontId="0" fillId="0" borderId="0" xfId="0" applyNumberFormat="1" applyAlignment="1">
      <alignment wrapText="1"/>
    </xf>
    <xf numFmtId="0" fontId="7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9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177" fontId="18" fillId="0" borderId="0" xfId="1" applyNumberFormat="1" applyFont="1" applyAlignment="1">
      <alignment wrapText="1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topLeftCell="A58" zoomScale="120" zoomScaleSheetLayoutView="120" workbookViewId="0">
      <selection activeCell="D59" sqref="D5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41" t="s">
        <v>30</v>
      </c>
      <c r="B1" s="141"/>
      <c r="C1" s="141"/>
      <c r="D1" s="141"/>
      <c r="E1" s="141"/>
      <c r="F1" s="141"/>
      <c r="G1" s="141"/>
    </row>
    <row r="2" spans="1:8" ht="15" x14ac:dyDescent="0.2">
      <c r="A2" s="142" t="s">
        <v>112</v>
      </c>
      <c r="B2" s="142"/>
      <c r="C2" s="142"/>
      <c r="D2" s="142"/>
      <c r="E2" s="142"/>
      <c r="F2" s="142"/>
      <c r="G2" s="14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31" t="s">
        <v>0</v>
      </c>
      <c r="B4" s="143" t="s">
        <v>1</v>
      </c>
      <c r="C4" s="143" t="s">
        <v>2</v>
      </c>
      <c r="D4" s="143"/>
      <c r="E4" s="121" t="s">
        <v>3</v>
      </c>
      <c r="F4" s="121" t="s">
        <v>4</v>
      </c>
      <c r="G4" s="143" t="s">
        <v>5</v>
      </c>
    </row>
    <row r="5" spans="1:8" ht="13.5" thickBot="1" x14ac:dyDescent="0.25">
      <c r="A5" s="122"/>
      <c r="B5" s="143"/>
      <c r="C5" s="143"/>
      <c r="D5" s="143"/>
      <c r="E5" s="122"/>
      <c r="F5" s="122"/>
      <c r="G5" s="143"/>
    </row>
    <row r="6" spans="1:8" ht="13.5" thickBot="1" x14ac:dyDescent="0.25">
      <c r="A6" s="123"/>
      <c r="B6" s="143"/>
      <c r="C6" s="5" t="s">
        <v>6</v>
      </c>
      <c r="D6" s="6" t="s">
        <v>7</v>
      </c>
      <c r="E6" s="123"/>
      <c r="F6" s="123"/>
      <c r="G6" s="143"/>
    </row>
    <row r="7" spans="1:8" ht="18" customHeight="1" thickBot="1" x14ac:dyDescent="0.25">
      <c r="A7" s="128" t="s">
        <v>106</v>
      </c>
      <c r="B7" s="129"/>
      <c r="C7" s="129"/>
      <c r="D7" s="130"/>
      <c r="E7" s="3"/>
      <c r="F7" s="4"/>
      <c r="G7" s="3"/>
    </row>
    <row r="8" spans="1:8" ht="39" thickBot="1" x14ac:dyDescent="0.25">
      <c r="A8" s="7" t="s">
        <v>8</v>
      </c>
      <c r="B8" s="22">
        <v>29993326</v>
      </c>
      <c r="C8" s="22">
        <v>4439</v>
      </c>
      <c r="D8" s="22">
        <v>4524</v>
      </c>
      <c r="E8" s="40">
        <f>D8-C8</f>
        <v>85</v>
      </c>
      <c r="F8" s="22">
        <v>15</v>
      </c>
      <c r="G8" s="23">
        <f>E8*F8</f>
        <v>1275</v>
      </c>
      <c r="H8" s="8"/>
    </row>
    <row r="9" spans="1:8" ht="64.5" thickBot="1" x14ac:dyDescent="0.25">
      <c r="A9" s="9" t="s">
        <v>9</v>
      </c>
      <c r="B9" s="22">
        <v>29993299</v>
      </c>
      <c r="C9" s="23">
        <v>1613</v>
      </c>
      <c r="D9" s="23">
        <v>1660</v>
      </c>
      <c r="E9" s="40">
        <f>D9-C9</f>
        <v>47</v>
      </c>
      <c r="F9" s="23">
        <v>60</v>
      </c>
      <c r="G9" s="23">
        <f>E9*F9</f>
        <v>2820</v>
      </c>
      <c r="H9" s="8"/>
    </row>
    <row r="10" spans="1:8" ht="15" customHeight="1" thickBot="1" x14ac:dyDescent="0.25">
      <c r="A10" s="9" t="s">
        <v>10</v>
      </c>
      <c r="B10" s="22">
        <v>29993206</v>
      </c>
      <c r="C10" s="22">
        <v>7362</v>
      </c>
      <c r="D10" s="22">
        <v>7553</v>
      </c>
      <c r="E10" s="40">
        <f>D10-C10</f>
        <v>191</v>
      </c>
      <c r="F10" s="22">
        <v>40</v>
      </c>
      <c r="G10" s="23">
        <f>E10*F10</f>
        <v>7640</v>
      </c>
    </row>
    <row r="11" spans="1:8" ht="15" customHeight="1" thickBot="1" x14ac:dyDescent="0.25">
      <c r="A11" s="11" t="s">
        <v>11</v>
      </c>
      <c r="B11" s="26">
        <v>29993506</v>
      </c>
      <c r="C11" s="22">
        <v>9560</v>
      </c>
      <c r="D11" s="22">
        <v>9840</v>
      </c>
      <c r="E11" s="40">
        <f>D11-C11</f>
        <v>280</v>
      </c>
      <c r="F11" s="22">
        <v>60</v>
      </c>
      <c r="G11" s="23">
        <f>E11*F11</f>
        <v>16800</v>
      </c>
    </row>
    <row r="12" spans="1:8" ht="15" customHeight="1" thickBot="1" x14ac:dyDescent="0.25">
      <c r="A12" s="9" t="s">
        <v>78</v>
      </c>
      <c r="B12" s="23">
        <v>29993527</v>
      </c>
      <c r="C12" s="22">
        <v>4010</v>
      </c>
      <c r="D12" s="22">
        <v>4125</v>
      </c>
      <c r="E12" s="40">
        <f>D12-C12</f>
        <v>115</v>
      </c>
      <c r="F12" s="22">
        <v>20</v>
      </c>
      <c r="G12" s="23">
        <f>E12*F12</f>
        <v>2300</v>
      </c>
    </row>
    <row r="13" spans="1:8" ht="18" customHeight="1" thickBot="1" x14ac:dyDescent="0.25">
      <c r="A13" s="98" t="s">
        <v>107</v>
      </c>
      <c r="B13" s="99"/>
      <c r="C13" s="42"/>
      <c r="D13" s="42"/>
      <c r="E13" s="40"/>
      <c r="F13" s="44"/>
      <c r="G13" s="12">
        <f>SUM(G8:G12)</f>
        <v>30835</v>
      </c>
    </row>
    <row r="14" spans="1:8" ht="42.75" customHeight="1" thickBot="1" x14ac:dyDescent="0.25">
      <c r="A14" s="7" t="s">
        <v>8</v>
      </c>
      <c r="B14" s="22">
        <v>29993434</v>
      </c>
      <c r="C14" s="21">
        <v>4010</v>
      </c>
      <c r="D14" s="21">
        <v>4123</v>
      </c>
      <c r="E14" s="40">
        <f t="shared" ref="E14:E18" si="0">D14-C14</f>
        <v>113</v>
      </c>
      <c r="F14" s="22">
        <v>10</v>
      </c>
      <c r="G14" s="23">
        <f t="shared" ref="G14:G18" si="1">E14*F14</f>
        <v>1130</v>
      </c>
      <c r="H14" s="10"/>
    </row>
    <row r="15" spans="1:8" ht="53.25" customHeight="1" thickBot="1" x14ac:dyDescent="0.25">
      <c r="A15" s="9" t="s">
        <v>12</v>
      </c>
      <c r="B15" s="22">
        <v>29993175</v>
      </c>
      <c r="C15" s="22">
        <v>2764</v>
      </c>
      <c r="D15" s="22">
        <v>2832</v>
      </c>
      <c r="E15" s="40">
        <f t="shared" si="0"/>
        <v>68</v>
      </c>
      <c r="F15" s="22">
        <v>15</v>
      </c>
      <c r="G15" s="23">
        <f t="shared" si="1"/>
        <v>1020</v>
      </c>
      <c r="H15" s="10"/>
    </row>
    <row r="16" spans="1:8" ht="15" customHeight="1" thickBot="1" x14ac:dyDescent="0.25">
      <c r="A16" s="9" t="s">
        <v>10</v>
      </c>
      <c r="B16" s="22">
        <v>29993086</v>
      </c>
      <c r="C16" s="22">
        <v>2009</v>
      </c>
      <c r="D16" s="22">
        <v>2071</v>
      </c>
      <c r="E16" s="40">
        <f t="shared" si="0"/>
        <v>62</v>
      </c>
      <c r="F16" s="22">
        <v>40</v>
      </c>
      <c r="G16" s="23">
        <f t="shared" si="1"/>
        <v>2480</v>
      </c>
      <c r="H16" s="10"/>
    </row>
    <row r="17" spans="1:8" ht="15" customHeight="1" thickBot="1" x14ac:dyDescent="0.25">
      <c r="A17" s="11" t="s">
        <v>11</v>
      </c>
      <c r="B17" s="26">
        <v>29993400</v>
      </c>
      <c r="C17" s="22">
        <v>3731</v>
      </c>
      <c r="D17" s="22">
        <v>3812</v>
      </c>
      <c r="E17" s="40">
        <f t="shared" si="0"/>
        <v>81</v>
      </c>
      <c r="F17" s="22">
        <v>30</v>
      </c>
      <c r="G17" s="23">
        <f t="shared" si="1"/>
        <v>2430</v>
      </c>
      <c r="H17" s="10"/>
    </row>
    <row r="18" spans="1:8" ht="31.5" customHeight="1" thickBot="1" x14ac:dyDescent="0.25">
      <c r="A18" s="14" t="s">
        <v>47</v>
      </c>
      <c r="B18" s="23">
        <v>29993504</v>
      </c>
      <c r="C18" s="22">
        <v>3911</v>
      </c>
      <c r="D18" s="22">
        <v>4047</v>
      </c>
      <c r="E18" s="40">
        <f t="shared" si="0"/>
        <v>136</v>
      </c>
      <c r="F18" s="22">
        <v>20</v>
      </c>
      <c r="G18" s="23">
        <f t="shared" si="1"/>
        <v>2720</v>
      </c>
      <c r="H18" s="10"/>
    </row>
    <row r="19" spans="1:8" ht="18" customHeight="1" thickBot="1" x14ac:dyDescent="0.25">
      <c r="A19" s="136" t="s">
        <v>108</v>
      </c>
      <c r="B19" s="137"/>
      <c r="C19" s="137"/>
      <c r="D19" s="140"/>
      <c r="E19" s="40"/>
      <c r="G19" s="16">
        <f>SUM(G14:G18)</f>
        <v>9780</v>
      </c>
    </row>
    <row r="20" spans="1:8" ht="39" customHeight="1" thickBot="1" x14ac:dyDescent="0.25">
      <c r="A20" s="7" t="s">
        <v>8</v>
      </c>
      <c r="B20" s="22">
        <v>29993452</v>
      </c>
      <c r="C20" s="22">
        <v>7091</v>
      </c>
      <c r="D20" s="22">
        <v>7253</v>
      </c>
      <c r="E20" s="40">
        <f t="shared" ref="E20:E24" si="2">D20-C20</f>
        <v>162</v>
      </c>
      <c r="F20" s="22">
        <v>10</v>
      </c>
      <c r="G20" s="23">
        <f t="shared" ref="G20:G24" si="3">E20*F20</f>
        <v>1620</v>
      </c>
      <c r="H20" s="10"/>
    </row>
    <row r="21" spans="1:8" ht="54" customHeight="1" thickBot="1" x14ac:dyDescent="0.25">
      <c r="A21" s="9" t="s">
        <v>13</v>
      </c>
      <c r="B21" s="22">
        <v>29993531</v>
      </c>
      <c r="C21" s="22">
        <v>2001</v>
      </c>
      <c r="D21" s="22">
        <v>2044</v>
      </c>
      <c r="E21" s="40">
        <f t="shared" si="2"/>
        <v>43</v>
      </c>
      <c r="F21" s="23">
        <v>15</v>
      </c>
      <c r="G21" s="23">
        <f t="shared" si="3"/>
        <v>645</v>
      </c>
      <c r="H21" s="10"/>
    </row>
    <row r="22" spans="1:8" ht="17.25" customHeight="1" thickBot="1" x14ac:dyDescent="0.25">
      <c r="A22" s="9" t="s">
        <v>14</v>
      </c>
      <c r="B22" s="22">
        <v>29993455</v>
      </c>
      <c r="C22" s="21">
        <v>5085</v>
      </c>
      <c r="D22" s="21">
        <v>5227</v>
      </c>
      <c r="E22" s="40">
        <f t="shared" si="2"/>
        <v>142</v>
      </c>
      <c r="F22" s="22">
        <v>40</v>
      </c>
      <c r="G22" s="23">
        <f t="shared" si="3"/>
        <v>5680</v>
      </c>
      <c r="H22" s="10"/>
    </row>
    <row r="23" spans="1:8" ht="16.5" customHeight="1" thickBot="1" x14ac:dyDescent="0.25">
      <c r="A23" s="11" t="s">
        <v>15</v>
      </c>
      <c r="B23" s="26">
        <v>29993405</v>
      </c>
      <c r="C23" s="23">
        <v>6422</v>
      </c>
      <c r="D23" s="23">
        <v>6579</v>
      </c>
      <c r="E23" s="40">
        <f t="shared" si="2"/>
        <v>157</v>
      </c>
      <c r="F23" s="22">
        <v>30</v>
      </c>
      <c r="G23" s="23">
        <f t="shared" si="3"/>
        <v>4710</v>
      </c>
      <c r="H23" s="10"/>
    </row>
    <row r="24" spans="1:8" ht="30.75" customHeight="1" thickBot="1" x14ac:dyDescent="0.25">
      <c r="A24" s="14" t="s">
        <v>46</v>
      </c>
      <c r="B24" s="23">
        <v>29993524</v>
      </c>
      <c r="C24" s="23">
        <v>6658</v>
      </c>
      <c r="D24" s="23">
        <v>6893</v>
      </c>
      <c r="E24" s="40">
        <f t="shared" si="2"/>
        <v>235</v>
      </c>
      <c r="F24" s="22">
        <v>20</v>
      </c>
      <c r="G24" s="23">
        <f t="shared" si="3"/>
        <v>4700</v>
      </c>
      <c r="H24" s="10"/>
    </row>
    <row r="25" spans="1:8" ht="13.5" thickBot="1" x14ac:dyDescent="0.25">
      <c r="A25" s="134"/>
      <c r="B25" s="134"/>
      <c r="C25" s="134"/>
      <c r="D25" s="134"/>
      <c r="E25" s="134"/>
      <c r="F25" s="5" t="s">
        <v>16</v>
      </c>
      <c r="G25" s="16">
        <f>SUM(G20:G24)</f>
        <v>17355</v>
      </c>
    </row>
    <row r="26" spans="1:8" ht="13.5" thickBot="1" x14ac:dyDescent="0.25">
      <c r="C26" s="17"/>
      <c r="D26" s="17"/>
      <c r="F26" s="5" t="s">
        <v>17</v>
      </c>
      <c r="G26" s="61">
        <f>G25+G19+G13</f>
        <v>57970</v>
      </c>
      <c r="H26" s="10"/>
    </row>
    <row r="27" spans="1:8" x14ac:dyDescent="0.2">
      <c r="C27" s="17"/>
      <c r="D27" s="17"/>
      <c r="G27" s="35"/>
      <c r="H27" s="10"/>
    </row>
    <row r="28" spans="1:8" ht="13.5" thickBot="1" x14ac:dyDescent="0.25"/>
    <row r="29" spans="1:8" ht="19.5" customHeight="1" thickBot="1" x14ac:dyDescent="0.25">
      <c r="A29" s="34" t="s">
        <v>109</v>
      </c>
      <c r="B29" s="27" t="s">
        <v>90</v>
      </c>
      <c r="C29" s="21">
        <v>157696</v>
      </c>
      <c r="D29" s="21">
        <v>161734</v>
      </c>
      <c r="E29" s="23">
        <f>D29-C29</f>
        <v>4038</v>
      </c>
      <c r="F29" s="22">
        <v>1</v>
      </c>
      <c r="G29" s="23">
        <f>E29*F29</f>
        <v>4038</v>
      </c>
      <c r="H29" s="10"/>
    </row>
    <row r="30" spans="1:8" ht="18.75" customHeight="1" thickBot="1" x14ac:dyDescent="0.25">
      <c r="A30" s="18" t="s">
        <v>18</v>
      </c>
      <c r="B30" s="23">
        <v>29211536</v>
      </c>
      <c r="C30" s="21">
        <v>134945</v>
      </c>
      <c r="D30" s="21">
        <v>138827</v>
      </c>
      <c r="E30" s="23">
        <f>D30-C30</f>
        <v>3882</v>
      </c>
      <c r="F30" s="22">
        <v>1</v>
      </c>
      <c r="G30" s="23">
        <f>E30*F30</f>
        <v>3882</v>
      </c>
      <c r="H30" s="10"/>
    </row>
    <row r="31" spans="1:8" ht="13.5" thickBot="1" x14ac:dyDescent="0.25">
      <c r="F31" s="5" t="s">
        <v>16</v>
      </c>
      <c r="G31" s="89">
        <f>SUM(G29:G30)</f>
        <v>7920</v>
      </c>
    </row>
    <row r="32" spans="1:8" x14ac:dyDescent="0.2">
      <c r="G32" s="19"/>
    </row>
    <row r="33" spans="1:8" x14ac:dyDescent="0.2">
      <c r="G33" s="19"/>
    </row>
    <row r="34" spans="1:8" x14ac:dyDescent="0.2">
      <c r="A34" s="135"/>
      <c r="B34" s="135"/>
      <c r="C34" s="135"/>
      <c r="D34" s="135"/>
      <c r="E34" s="135"/>
      <c r="F34" s="120"/>
      <c r="G34" s="120"/>
    </row>
    <row r="35" spans="1:8" ht="13.5" thickBot="1" x14ac:dyDescent="0.25">
      <c r="A35" s="1"/>
      <c r="B35" s="2"/>
      <c r="G35" s="2"/>
    </row>
    <row r="36" spans="1:8" ht="12.75" customHeight="1" x14ac:dyDescent="0.2">
      <c r="A36" s="131" t="s">
        <v>0</v>
      </c>
      <c r="B36" s="121" t="s">
        <v>1</v>
      </c>
      <c r="C36" s="124" t="s">
        <v>2</v>
      </c>
      <c r="D36" s="125"/>
      <c r="E36" s="121" t="s">
        <v>3</v>
      </c>
      <c r="F36" s="121" t="s">
        <v>4</v>
      </c>
      <c r="G36" s="121" t="s">
        <v>5</v>
      </c>
    </row>
    <row r="37" spans="1:8" ht="13.5" thickBot="1" x14ac:dyDescent="0.25">
      <c r="A37" s="132"/>
      <c r="B37" s="122"/>
      <c r="C37" s="126"/>
      <c r="D37" s="127"/>
      <c r="E37" s="122"/>
      <c r="F37" s="122"/>
      <c r="G37" s="122"/>
    </row>
    <row r="38" spans="1:8" ht="13.5" thickBot="1" x14ac:dyDescent="0.25">
      <c r="A38" s="133"/>
      <c r="B38" s="123"/>
      <c r="C38" s="5" t="s">
        <v>6</v>
      </c>
      <c r="D38" s="6" t="s">
        <v>7</v>
      </c>
      <c r="E38" s="123"/>
      <c r="F38" s="123"/>
      <c r="G38" s="123"/>
    </row>
    <row r="39" spans="1:8" ht="25.5" customHeight="1" thickBot="1" x14ac:dyDescent="0.25">
      <c r="A39" s="138" t="s">
        <v>77</v>
      </c>
      <c r="B39" s="139"/>
      <c r="C39" s="139"/>
      <c r="D39" s="139"/>
      <c r="E39" s="37"/>
      <c r="G39" s="20"/>
    </row>
    <row r="40" spans="1:8" ht="15" customHeight="1" thickBot="1" x14ac:dyDescent="0.25">
      <c r="A40" s="14" t="s">
        <v>19</v>
      </c>
      <c r="B40" s="14" t="s">
        <v>91</v>
      </c>
      <c r="C40" s="21">
        <v>1834</v>
      </c>
      <c r="D40" s="21">
        <v>1897</v>
      </c>
      <c r="E40" s="22">
        <f>D40-C40</f>
        <v>63</v>
      </c>
      <c r="F40" s="14">
        <v>30</v>
      </c>
      <c r="G40" s="39">
        <f>E40*F40</f>
        <v>1890</v>
      </c>
      <c r="H40" s="10"/>
    </row>
    <row r="41" spans="1:8" ht="15" customHeight="1" thickBot="1" x14ac:dyDescent="0.25">
      <c r="A41" s="24" t="s">
        <v>20</v>
      </c>
      <c r="B41" s="22">
        <v>29993194</v>
      </c>
      <c r="C41" s="22">
        <v>2178</v>
      </c>
      <c r="D41" s="22">
        <v>2233</v>
      </c>
      <c r="E41" s="22">
        <f>D41-C41</f>
        <v>55</v>
      </c>
      <c r="F41" s="22">
        <v>30</v>
      </c>
      <c r="G41" s="23">
        <f>E41*F41</f>
        <v>1650</v>
      </c>
      <c r="H41" s="10"/>
    </row>
    <row r="42" spans="1:8" ht="15" customHeight="1" thickBot="1" x14ac:dyDescent="0.25">
      <c r="A42" s="25"/>
      <c r="B42" s="22"/>
      <c r="C42" s="26"/>
      <c r="D42" s="26"/>
      <c r="E42" s="22"/>
      <c r="F42" s="26"/>
      <c r="G42" s="23"/>
    </row>
    <row r="43" spans="1:8" ht="15" customHeight="1" thickBot="1" x14ac:dyDescent="0.25">
      <c r="A43" s="14" t="s">
        <v>21</v>
      </c>
      <c r="B43" s="27" t="s">
        <v>92</v>
      </c>
      <c r="C43" s="26">
        <v>8904</v>
      </c>
      <c r="D43" s="26">
        <v>9321</v>
      </c>
      <c r="E43" s="22">
        <f>D43-C43</f>
        <v>417</v>
      </c>
      <c r="F43" s="22">
        <v>30</v>
      </c>
      <c r="G43" s="23">
        <f>E43*F43</f>
        <v>12510</v>
      </c>
      <c r="H43" s="10"/>
    </row>
    <row r="44" spans="1:8" ht="15" customHeight="1" thickBot="1" x14ac:dyDescent="0.25">
      <c r="A44" s="24" t="s">
        <v>22</v>
      </c>
      <c r="B44" s="14" t="s">
        <v>93</v>
      </c>
      <c r="C44" s="41">
        <v>6217</v>
      </c>
      <c r="D44" s="41">
        <v>6432</v>
      </c>
      <c r="E44" s="22">
        <f>D44-C44</f>
        <v>215</v>
      </c>
      <c r="F44" s="22">
        <v>30</v>
      </c>
      <c r="G44" s="23">
        <f>E44*F44</f>
        <v>6450</v>
      </c>
      <c r="H44" s="10"/>
    </row>
    <row r="45" spans="1:8" ht="16.5" customHeight="1" thickBot="1" x14ac:dyDescent="0.25">
      <c r="A45" s="136" t="s">
        <v>23</v>
      </c>
      <c r="B45" s="137"/>
      <c r="C45" s="117"/>
      <c r="D45" s="43"/>
      <c r="E45" s="38"/>
      <c r="F45" s="5" t="s">
        <v>16</v>
      </c>
      <c r="G45" s="108">
        <f>SUM(G40:G44)</f>
        <v>22500</v>
      </c>
      <c r="H45" s="10"/>
    </row>
    <row r="46" spans="1:8" ht="31.5" customHeight="1" thickBot="1" x14ac:dyDescent="0.25">
      <c r="A46" s="28" t="s">
        <v>8</v>
      </c>
      <c r="B46" s="22">
        <v>29993213</v>
      </c>
      <c r="C46" s="23">
        <v>9745</v>
      </c>
      <c r="D46" s="23">
        <v>9957</v>
      </c>
      <c r="E46" s="23">
        <f t="shared" ref="E46:E50" si="4">D46-C46</f>
        <v>212</v>
      </c>
      <c r="F46" s="22">
        <v>15</v>
      </c>
      <c r="G46" s="23">
        <f t="shared" ref="G46:G50" si="5">E46*F46</f>
        <v>3180</v>
      </c>
      <c r="H46" s="10"/>
    </row>
    <row r="47" spans="1:8" ht="49.5" customHeight="1" thickBot="1" x14ac:dyDescent="0.25">
      <c r="A47" s="14" t="s">
        <v>13</v>
      </c>
      <c r="B47" s="22">
        <v>29993517</v>
      </c>
      <c r="C47" s="22">
        <v>1367</v>
      </c>
      <c r="D47" s="22">
        <v>1400</v>
      </c>
      <c r="E47" s="23">
        <f t="shared" si="4"/>
        <v>33</v>
      </c>
      <c r="F47" s="22">
        <v>60</v>
      </c>
      <c r="G47" s="23">
        <f t="shared" si="5"/>
        <v>1980</v>
      </c>
      <c r="H47" s="10"/>
    </row>
    <row r="48" spans="1:8" ht="15" customHeight="1" thickBot="1" x14ac:dyDescent="0.25">
      <c r="A48" s="14" t="s">
        <v>14</v>
      </c>
      <c r="B48" s="22">
        <v>29116365</v>
      </c>
      <c r="C48" s="21">
        <v>14223</v>
      </c>
      <c r="D48" s="21">
        <v>14623</v>
      </c>
      <c r="E48" s="23">
        <f t="shared" si="4"/>
        <v>400</v>
      </c>
      <c r="F48" s="22">
        <v>60</v>
      </c>
      <c r="G48" s="23">
        <f t="shared" si="5"/>
        <v>24000</v>
      </c>
      <c r="H48" s="10"/>
    </row>
    <row r="49" spans="1:8" ht="15" customHeight="1" thickBot="1" x14ac:dyDescent="0.25">
      <c r="A49" s="29" t="s">
        <v>15</v>
      </c>
      <c r="B49" s="26">
        <v>29993350</v>
      </c>
      <c r="C49" s="23">
        <v>11675</v>
      </c>
      <c r="D49" s="23">
        <v>12028</v>
      </c>
      <c r="E49" s="23">
        <f t="shared" si="4"/>
        <v>353</v>
      </c>
      <c r="F49" s="22">
        <v>80</v>
      </c>
      <c r="G49" s="23">
        <f t="shared" si="5"/>
        <v>28240</v>
      </c>
      <c r="H49" s="10"/>
    </row>
    <row r="50" spans="1:8" ht="15" customHeight="1" thickBot="1" x14ac:dyDescent="0.25">
      <c r="A50" s="24" t="s">
        <v>78</v>
      </c>
      <c r="B50" s="23">
        <v>29993469</v>
      </c>
      <c r="C50" s="23">
        <v>5712</v>
      </c>
      <c r="D50" s="23">
        <v>5850</v>
      </c>
      <c r="E50" s="23">
        <f t="shared" si="4"/>
        <v>138</v>
      </c>
      <c r="F50" s="22">
        <v>40</v>
      </c>
      <c r="G50" s="23">
        <f t="shared" si="5"/>
        <v>5520</v>
      </c>
      <c r="H50" s="10"/>
    </row>
    <row r="51" spans="1:8" ht="13.5" thickBot="1" x14ac:dyDescent="0.25">
      <c r="A51" s="15"/>
      <c r="B51" s="15"/>
      <c r="C51" s="23"/>
      <c r="D51" s="15"/>
      <c r="E51" s="30"/>
      <c r="F51" s="5" t="s">
        <v>16</v>
      </c>
      <c r="G51" s="45">
        <f>SUM(G46:G50)</f>
        <v>62920</v>
      </c>
    </row>
    <row r="53" spans="1:8" x14ac:dyDescent="0.2">
      <c r="A53" s="131" t="s">
        <v>0</v>
      </c>
      <c r="B53" s="121" t="s">
        <v>1</v>
      </c>
      <c r="C53" s="124" t="s">
        <v>2</v>
      </c>
      <c r="D53" s="125"/>
      <c r="E53" s="121" t="s">
        <v>3</v>
      </c>
      <c r="F53" s="121" t="s">
        <v>4</v>
      </c>
      <c r="G53" s="121" t="s">
        <v>5</v>
      </c>
    </row>
    <row r="54" spans="1:8" ht="13.5" thickBot="1" x14ac:dyDescent="0.25">
      <c r="A54" s="132"/>
      <c r="B54" s="122"/>
      <c r="C54" s="126"/>
      <c r="D54" s="127"/>
      <c r="E54" s="122"/>
      <c r="F54" s="122"/>
      <c r="G54" s="122"/>
    </row>
    <row r="55" spans="1:8" ht="13.5" thickBot="1" x14ac:dyDescent="0.25">
      <c r="A55" s="133"/>
      <c r="B55" s="123"/>
      <c r="C55" s="5" t="s">
        <v>6</v>
      </c>
      <c r="D55" s="6" t="s">
        <v>7</v>
      </c>
      <c r="E55" s="123"/>
      <c r="F55" s="123"/>
      <c r="G55" s="123"/>
    </row>
    <row r="56" spans="1:8" ht="15" customHeight="1" thickBot="1" x14ac:dyDescent="0.25">
      <c r="A56" s="31" t="s">
        <v>110</v>
      </c>
      <c r="B56" s="14" t="s">
        <v>94</v>
      </c>
      <c r="C56" s="21">
        <v>6429</v>
      </c>
      <c r="D56" s="21">
        <v>6542</v>
      </c>
      <c r="E56" s="22">
        <f t="shared" ref="E56:E58" si="6">D56-C56</f>
        <v>113</v>
      </c>
      <c r="F56" s="21">
        <v>40</v>
      </c>
      <c r="G56" s="23">
        <f t="shared" ref="G56:G58" si="7">E56*F56</f>
        <v>4520</v>
      </c>
      <c r="H56" s="10"/>
    </row>
    <row r="57" spans="1:8" ht="15" customHeight="1" thickBot="1" x14ac:dyDescent="0.25">
      <c r="A57" s="14"/>
      <c r="B57" s="14" t="s">
        <v>95</v>
      </c>
      <c r="C57" s="21">
        <v>4070</v>
      </c>
      <c r="D57" s="21">
        <v>4159</v>
      </c>
      <c r="E57" s="22">
        <f t="shared" si="6"/>
        <v>89</v>
      </c>
      <c r="F57" s="21">
        <v>20</v>
      </c>
      <c r="G57" s="23">
        <f t="shared" si="7"/>
        <v>1780</v>
      </c>
      <c r="H57" s="10"/>
    </row>
    <row r="58" spans="1:8" ht="15" customHeight="1" thickBot="1" x14ac:dyDescent="0.25">
      <c r="A58" s="14"/>
      <c r="B58" s="14" t="s">
        <v>96</v>
      </c>
      <c r="C58" s="21">
        <v>851</v>
      </c>
      <c r="D58" s="21">
        <v>868</v>
      </c>
      <c r="E58" s="22">
        <f t="shared" si="6"/>
        <v>17</v>
      </c>
      <c r="F58" s="21">
        <v>80</v>
      </c>
      <c r="G58" s="23">
        <f t="shared" si="7"/>
        <v>1360</v>
      </c>
      <c r="H58" s="10"/>
    </row>
    <row r="59" spans="1:8" ht="15" customHeight="1" thickBot="1" x14ac:dyDescent="0.25">
      <c r="A59" s="118" t="s">
        <v>105</v>
      </c>
      <c r="B59" s="94">
        <v>32358499</v>
      </c>
      <c r="C59" s="21">
        <v>0</v>
      </c>
      <c r="D59" s="21">
        <v>0</v>
      </c>
      <c r="E59" s="22">
        <f t="shared" ref="E59:E60" si="8">D59-C59</f>
        <v>0</v>
      </c>
      <c r="F59" s="21">
        <v>1</v>
      </c>
      <c r="G59" s="23">
        <f t="shared" ref="G59:G60" si="9">E59*F59</f>
        <v>0</v>
      </c>
    </row>
    <row r="60" spans="1:8" ht="15" customHeight="1" thickBot="1" x14ac:dyDescent="0.25">
      <c r="A60" s="119"/>
      <c r="B60" s="96">
        <v>32358505</v>
      </c>
      <c r="C60" s="21">
        <v>0</v>
      </c>
      <c r="D60" s="21">
        <v>0</v>
      </c>
      <c r="E60" s="22">
        <f t="shared" si="8"/>
        <v>0</v>
      </c>
      <c r="F60" s="21">
        <v>1</v>
      </c>
      <c r="G60" s="23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97" t="s">
        <v>16</v>
      </c>
      <c r="G61" s="109">
        <f>SUM(G56:G60)</f>
        <v>7660</v>
      </c>
    </row>
    <row r="62" spans="1:8" ht="15" customHeight="1" x14ac:dyDescent="0.2">
      <c r="A62" s="32"/>
      <c r="B62" s="33"/>
      <c r="C62" s="33"/>
      <c r="D62" s="33"/>
      <c r="E62" s="33"/>
      <c r="F62" s="95"/>
      <c r="G62" s="36"/>
    </row>
    <row r="63" spans="1:8" ht="15" customHeight="1" x14ac:dyDescent="0.2">
      <c r="A63" s="71" t="s">
        <v>29</v>
      </c>
      <c r="B63" s="72">
        <f>G26+G31+G45+G51+G61</f>
        <v>158970</v>
      </c>
      <c r="C63" s="33"/>
      <c r="D63" s="33"/>
      <c r="E63" s="33"/>
      <c r="F63" s="92"/>
      <c r="G63" s="36"/>
    </row>
    <row r="64" spans="1:8" ht="15" customHeight="1" x14ac:dyDescent="0.2">
      <c r="A64" s="71" t="s">
        <v>28</v>
      </c>
      <c r="B64" s="72">
        <f>SUM(G12)+SUM(G18:G18)+SUM(G24:G24)+G31+SUM(G50:G50)</f>
        <v>23160</v>
      </c>
      <c r="C64" s="33"/>
      <c r="D64" s="33"/>
      <c r="E64" s="33"/>
      <c r="F64" s="92"/>
      <c r="G64" s="36"/>
    </row>
    <row r="65" spans="1:7" ht="21.75" customHeight="1" x14ac:dyDescent="0.2">
      <c r="A65" s="46" t="s">
        <v>43</v>
      </c>
      <c r="B65" s="73">
        <f>SUM(G10:G11)+SUM(G16:G17)+SUM(G22:G23)+SUM(G48:G49)</f>
        <v>91980</v>
      </c>
      <c r="D65" s="64"/>
      <c r="E65" s="64"/>
      <c r="F65" s="92"/>
    </row>
    <row r="66" spans="1:7" ht="21.75" customHeight="1" x14ac:dyDescent="0.2">
      <c r="A66" s="46" t="s">
        <v>73</v>
      </c>
      <c r="B66" s="73">
        <f>G61</f>
        <v>7660</v>
      </c>
      <c r="D66" s="17"/>
      <c r="G66" s="19"/>
    </row>
    <row r="67" spans="1:7" ht="21.75" customHeight="1" x14ac:dyDescent="0.2">
      <c r="A67" s="46" t="s">
        <v>98</v>
      </c>
      <c r="B67" s="73">
        <f>G8+G9+G14+G15+G20+G21+G45+G46+G47</f>
        <v>36170</v>
      </c>
      <c r="D67" s="17"/>
      <c r="G67" s="19"/>
    </row>
    <row r="69" spans="1:7" x14ac:dyDescent="0.2">
      <c r="B69" t="s">
        <v>45</v>
      </c>
    </row>
    <row r="71" spans="1:7" x14ac:dyDescent="0.2">
      <c r="B71" t="s">
        <v>44</v>
      </c>
    </row>
  </sheetData>
  <mergeCells count="28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abSelected="1" workbookViewId="0">
      <selection activeCell="C13" sqref="C13"/>
    </sheetView>
  </sheetViews>
  <sheetFormatPr defaultColWidth="9.140625" defaultRowHeight="12.75" x14ac:dyDescent="0.2"/>
  <cols>
    <col min="1" max="1" width="7.28515625" style="47" customWidth="1"/>
    <col min="2" max="2" width="33.85546875" style="47" customWidth="1"/>
    <col min="3" max="3" width="15.42578125" style="47" customWidth="1"/>
    <col min="4" max="4" width="12.42578125" style="47" customWidth="1"/>
    <col min="5" max="5" width="17.85546875" style="47" customWidth="1"/>
    <col min="6" max="16384" width="9.140625" style="47"/>
  </cols>
  <sheetData>
    <row r="2" spans="1:7" ht="21" x14ac:dyDescent="0.2">
      <c r="A2" s="145" t="s">
        <v>113</v>
      </c>
      <c r="B2" s="145"/>
      <c r="C2" s="145"/>
      <c r="D2" s="145"/>
      <c r="E2" s="145"/>
    </row>
    <row r="4" spans="1:7" ht="18.75" x14ac:dyDescent="0.3">
      <c r="A4" s="48" t="s">
        <v>32</v>
      </c>
    </row>
    <row r="5" spans="1:7" ht="13.5" thickBot="1" x14ac:dyDescent="0.25"/>
    <row r="6" spans="1:7" ht="16.5" thickBot="1" x14ac:dyDescent="0.3">
      <c r="A6" s="53" t="s">
        <v>24</v>
      </c>
      <c r="B6" s="54" t="s">
        <v>33</v>
      </c>
      <c r="C6" s="60" t="s">
        <v>38</v>
      </c>
      <c r="D6" s="54" t="s">
        <v>34</v>
      </c>
      <c r="E6" s="55" t="s">
        <v>35</v>
      </c>
    </row>
    <row r="7" spans="1:7" ht="15.75" x14ac:dyDescent="0.25">
      <c r="A7" s="50">
        <v>1</v>
      </c>
      <c r="B7" s="50" t="s">
        <v>39</v>
      </c>
      <c r="C7" s="51">
        <f>'Общ. счетчики'!G61</f>
        <v>7660</v>
      </c>
      <c r="D7" s="52">
        <v>4.01</v>
      </c>
      <c r="E7" s="62">
        <f>C7*D7</f>
        <v>30716.6</v>
      </c>
    </row>
    <row r="8" spans="1:7" ht="15.75" x14ac:dyDescent="0.25">
      <c r="A8" s="57">
        <v>2</v>
      </c>
      <c r="B8" s="50" t="s">
        <v>103</v>
      </c>
      <c r="C8" s="51">
        <f>6275.6*0.5708</f>
        <v>3582.1124800000002</v>
      </c>
      <c r="D8" s="52">
        <v>4.01</v>
      </c>
      <c r="E8" s="62">
        <f>C8*D8</f>
        <v>14364.2710448</v>
      </c>
    </row>
    <row r="9" spans="1:7" ht="15.75" x14ac:dyDescent="0.25">
      <c r="A9" s="57">
        <v>3</v>
      </c>
      <c r="B9" s="57" t="s">
        <v>40</v>
      </c>
      <c r="C9" s="58">
        <v>1</v>
      </c>
      <c r="D9" s="59">
        <v>28.01</v>
      </c>
      <c r="E9" s="62">
        <f>C9*D9</f>
        <v>28.01</v>
      </c>
    </row>
    <row r="10" spans="1:7" ht="15.75" x14ac:dyDescent="0.25">
      <c r="A10" s="57">
        <v>4</v>
      </c>
      <c r="B10" s="57" t="s">
        <v>41</v>
      </c>
      <c r="C10" s="58">
        <v>0</v>
      </c>
      <c r="D10" s="59">
        <f>0.051*D15+D12</f>
        <v>148.74637999999999</v>
      </c>
      <c r="E10" s="62">
        <f>C10*D10</f>
        <v>0</v>
      </c>
    </row>
    <row r="11" spans="1:7" ht="15.75" x14ac:dyDescent="0.25">
      <c r="A11" s="57">
        <v>5</v>
      </c>
      <c r="B11" s="57" t="s">
        <v>42</v>
      </c>
      <c r="C11" s="58">
        <v>2</v>
      </c>
      <c r="D11" s="59">
        <v>33.4</v>
      </c>
      <c r="E11" s="62">
        <f>C11*D11</f>
        <v>66.8</v>
      </c>
    </row>
    <row r="12" spans="1:7" ht="15.75" x14ac:dyDescent="0.25">
      <c r="A12" s="57">
        <v>6</v>
      </c>
      <c r="B12" s="57" t="s">
        <v>99</v>
      </c>
      <c r="C12" s="58">
        <v>6</v>
      </c>
      <c r="D12" s="59">
        <v>28.01</v>
      </c>
      <c r="E12" s="62">
        <f t="shared" ref="E12:E14" si="0">C12*D12</f>
        <v>168.06</v>
      </c>
      <c r="G12" s="104"/>
    </row>
    <row r="13" spans="1:7" ht="15.75" x14ac:dyDescent="0.25">
      <c r="A13" s="57">
        <v>7</v>
      </c>
      <c r="B13" s="57" t="s">
        <v>100</v>
      </c>
      <c r="C13" s="58">
        <v>6</v>
      </c>
      <c r="D13" s="59">
        <f>D10</f>
        <v>148.74637999999999</v>
      </c>
      <c r="E13" s="62">
        <f t="shared" si="0"/>
        <v>892.47827999999993</v>
      </c>
      <c r="G13" s="104"/>
    </row>
    <row r="14" spans="1:7" ht="15.75" x14ac:dyDescent="0.25">
      <c r="A14" s="57">
        <v>8</v>
      </c>
      <c r="B14" s="57" t="s">
        <v>101</v>
      </c>
      <c r="C14" s="58">
        <v>11</v>
      </c>
      <c r="D14" s="59">
        <v>33.4</v>
      </c>
      <c r="E14" s="62">
        <f t="shared" si="0"/>
        <v>367.4</v>
      </c>
      <c r="G14" s="104"/>
    </row>
    <row r="15" spans="1:7" ht="15.75" x14ac:dyDescent="0.25">
      <c r="A15" s="57">
        <v>9</v>
      </c>
      <c r="B15" s="57" t="s">
        <v>52</v>
      </c>
      <c r="C15" s="59">
        <v>0</v>
      </c>
      <c r="D15" s="59">
        <v>2367.38</v>
      </c>
      <c r="E15" s="63">
        <f>C15*D15</f>
        <v>0</v>
      </c>
    </row>
    <row r="16" spans="1:7" ht="15.75" x14ac:dyDescent="0.25">
      <c r="A16" s="57">
        <v>10</v>
      </c>
      <c r="B16" s="57" t="s">
        <v>111</v>
      </c>
      <c r="C16" s="59">
        <f>'[1]Расчет платы на отопление и ГВС'!$F$17</f>
        <v>0</v>
      </c>
      <c r="D16" s="59">
        <v>4.01</v>
      </c>
      <c r="E16" s="63">
        <f>C16*D16</f>
        <v>0</v>
      </c>
    </row>
    <row r="17" spans="1:5" ht="15" customHeight="1" x14ac:dyDescent="0.25">
      <c r="A17" s="49"/>
      <c r="B17" s="49"/>
      <c r="C17" s="49"/>
      <c r="D17" s="49"/>
      <c r="E17" s="49"/>
    </row>
    <row r="18" spans="1:5" ht="15.75" x14ac:dyDescent="0.25">
      <c r="A18" s="49" t="s">
        <v>36</v>
      </c>
      <c r="B18" s="49"/>
      <c r="C18" s="49"/>
      <c r="D18" s="49"/>
      <c r="E18" s="49"/>
    </row>
    <row r="20" spans="1:5" ht="23.25" x14ac:dyDescent="0.35">
      <c r="A20" s="49" t="s">
        <v>37</v>
      </c>
      <c r="E20" s="56">
        <f>SUM(E7:E16)/310</f>
        <v>150.33425588645164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0"/>
  <sheetViews>
    <sheetView topLeftCell="A10" workbookViewId="0">
      <selection activeCell="C12" sqref="C12"/>
    </sheetView>
  </sheetViews>
  <sheetFormatPr defaultColWidth="9.140625" defaultRowHeight="33" customHeight="1" x14ac:dyDescent="0.2"/>
  <cols>
    <col min="1" max="1" width="9.140625" style="65"/>
    <col min="2" max="2" width="12.42578125" style="65" customWidth="1"/>
    <col min="3" max="4" width="13.85546875" style="65" customWidth="1"/>
    <col min="5" max="6" width="12.42578125" style="65" customWidth="1"/>
    <col min="7" max="7" width="15.5703125" style="65" customWidth="1"/>
    <col min="8" max="8" width="16.7109375" style="65" customWidth="1"/>
    <col min="9" max="9" width="15.42578125" style="65" customWidth="1"/>
    <col min="10" max="10" width="17.140625" style="65" customWidth="1"/>
    <col min="11" max="11" width="9.140625" style="65"/>
    <col min="12" max="12" width="11.5703125" style="65" bestFit="1" customWidth="1"/>
    <col min="13" max="16384" width="9.140625" style="65"/>
  </cols>
  <sheetData>
    <row r="1" spans="1:10" ht="33" customHeight="1" x14ac:dyDescent="0.2">
      <c r="A1" s="146" t="s">
        <v>104</v>
      </c>
      <c r="B1" s="146"/>
      <c r="C1" s="146"/>
      <c r="D1" s="146"/>
      <c r="E1" s="146"/>
      <c r="F1" s="146"/>
      <c r="G1" s="146"/>
      <c r="H1" s="146"/>
      <c r="I1" s="93"/>
    </row>
    <row r="2" spans="1:10" ht="18" customHeight="1" x14ac:dyDescent="0.2"/>
    <row r="3" spans="1:10" ht="72.75" customHeight="1" x14ac:dyDescent="0.2">
      <c r="A3" s="74"/>
      <c r="B3" s="74" t="s">
        <v>84</v>
      </c>
      <c r="C3" s="74" t="s">
        <v>85</v>
      </c>
      <c r="D3" s="74" t="s">
        <v>97</v>
      </c>
      <c r="E3" s="74" t="s">
        <v>86</v>
      </c>
      <c r="F3" s="74" t="s">
        <v>79</v>
      </c>
      <c r="G3" s="74" t="s">
        <v>87</v>
      </c>
      <c r="H3" s="74" t="s">
        <v>102</v>
      </c>
    </row>
    <row r="4" spans="1:10" ht="33" customHeight="1" x14ac:dyDescent="0.2">
      <c r="A4" s="74" t="s">
        <v>26</v>
      </c>
      <c r="B4" s="74">
        <v>22605.8</v>
      </c>
      <c r="C4" s="74">
        <v>17347.5</v>
      </c>
      <c r="D4" s="74">
        <f>457.3-24.5-3.6-40+475.9-5.5-13.1-2.1-16.5+1005.2-38.5-422.8</f>
        <v>1371.8</v>
      </c>
      <c r="E4" s="74">
        <f t="shared" ref="E4:E9" si="0">B4-C4-D4</f>
        <v>3886.4999999999991</v>
      </c>
      <c r="F4" s="74">
        <v>3.23</v>
      </c>
      <c r="G4" s="75">
        <f t="shared" ref="G4:G8" si="1">E4*F4</f>
        <v>12553.394999999997</v>
      </c>
      <c r="H4" s="85">
        <f>G4/C4</f>
        <v>0.72364288802421084</v>
      </c>
    </row>
    <row r="5" spans="1:10" ht="33" customHeight="1" x14ac:dyDescent="0.2">
      <c r="A5" s="74" t="s">
        <v>25</v>
      </c>
      <c r="B5" s="74">
        <v>24756.6</v>
      </c>
      <c r="C5" s="74">
        <v>16483.400000000001</v>
      </c>
      <c r="D5" s="74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74">
        <f t="shared" si="0"/>
        <v>3377.9999999999964</v>
      </c>
      <c r="F5" s="74">
        <v>3.23</v>
      </c>
      <c r="G5" s="75">
        <f t="shared" si="1"/>
        <v>10910.939999999988</v>
      </c>
      <c r="H5" s="85">
        <f>G5/C5</f>
        <v>0.66193503767426543</v>
      </c>
      <c r="J5" s="91"/>
    </row>
    <row r="6" spans="1:10" ht="33" customHeight="1" x14ac:dyDescent="0.2">
      <c r="A6" s="74" t="s">
        <v>31</v>
      </c>
      <c r="B6" s="74">
        <v>13321.1</v>
      </c>
      <c r="C6" s="74">
        <v>6275.6</v>
      </c>
      <c r="D6" s="74">
        <f>678.3+6165.9</f>
        <v>6844.2</v>
      </c>
      <c r="E6" s="74">
        <f t="shared" si="0"/>
        <v>201.30000000000018</v>
      </c>
      <c r="F6" s="74">
        <v>3.23</v>
      </c>
      <c r="G6" s="75">
        <f t="shared" si="1"/>
        <v>650.19900000000064</v>
      </c>
      <c r="H6" s="85">
        <f t="shared" ref="H6:H7" si="2">G6/C6</f>
        <v>0.10360746382815995</v>
      </c>
    </row>
    <row r="7" spans="1:10" ht="33" customHeight="1" x14ac:dyDescent="0.2">
      <c r="A7" s="74" t="s">
        <v>74</v>
      </c>
      <c r="B7" s="74">
        <v>1409.2</v>
      </c>
      <c r="C7" s="74">
        <v>1221.3</v>
      </c>
      <c r="D7" s="74">
        <v>0</v>
      </c>
      <c r="E7" s="74">
        <f t="shared" si="0"/>
        <v>187.90000000000009</v>
      </c>
      <c r="F7" s="74">
        <v>3.23</v>
      </c>
      <c r="G7" s="75">
        <f t="shared" si="1"/>
        <v>606.91700000000026</v>
      </c>
      <c r="H7" s="85">
        <f t="shared" si="2"/>
        <v>0.49694342094489502</v>
      </c>
    </row>
    <row r="8" spans="1:10" ht="33" customHeight="1" x14ac:dyDescent="0.2">
      <c r="A8" s="74" t="s">
        <v>75</v>
      </c>
      <c r="B8" s="74">
        <v>1308.0999999999999</v>
      </c>
      <c r="C8" s="74">
        <v>1189.2</v>
      </c>
      <c r="D8" s="74">
        <v>0</v>
      </c>
      <c r="E8" s="74">
        <f t="shared" si="0"/>
        <v>118.89999999999986</v>
      </c>
      <c r="F8" s="74">
        <v>3.23</v>
      </c>
      <c r="G8" s="75">
        <f t="shared" si="1"/>
        <v>384.04699999999957</v>
      </c>
      <c r="H8" s="85">
        <f>G8/C8</f>
        <v>0.32294567776656541</v>
      </c>
    </row>
    <row r="9" spans="1:10" ht="33" customHeight="1" x14ac:dyDescent="0.2">
      <c r="A9" s="74" t="s">
        <v>27</v>
      </c>
      <c r="B9" s="74">
        <v>2004.4</v>
      </c>
      <c r="C9" s="74">
        <f>1599.7+101.5</f>
        <v>1701.2</v>
      </c>
      <c r="D9" s="74">
        <f>210.1+69.4-18.03</f>
        <v>261.47000000000003</v>
      </c>
      <c r="E9" s="74">
        <f t="shared" si="0"/>
        <v>41.730000000000018</v>
      </c>
      <c r="F9" s="74">
        <v>3.23</v>
      </c>
      <c r="G9" s="75">
        <f>E9*F9</f>
        <v>134.78790000000006</v>
      </c>
      <c r="H9" s="85">
        <f>G9/C9</f>
        <v>7.9231072184340501E-2</v>
      </c>
    </row>
    <row r="10" spans="1:10" ht="33" customHeight="1" x14ac:dyDescent="0.2">
      <c r="A10" s="74" t="s">
        <v>77</v>
      </c>
      <c r="B10" s="74">
        <f>64.6+236.9</f>
        <v>301.5</v>
      </c>
      <c r="C10" s="74"/>
      <c r="D10" s="74">
        <v>301.5</v>
      </c>
      <c r="E10" s="74"/>
      <c r="F10" s="74"/>
      <c r="G10" s="75"/>
      <c r="H10" s="74"/>
    </row>
    <row r="11" spans="1:10" ht="33" customHeight="1" x14ac:dyDescent="0.35">
      <c r="A11" s="65" t="s">
        <v>76</v>
      </c>
      <c r="B11" s="65">
        <f>SUM(B4:B10)</f>
        <v>65706.699999999983</v>
      </c>
      <c r="C11" s="65">
        <f>SUM(C4:C9)</f>
        <v>44218.2</v>
      </c>
      <c r="D11" s="86">
        <f>SUM(D4:D10)</f>
        <v>13674.17</v>
      </c>
      <c r="E11" s="65">
        <f>SUM(E4:E9)</f>
        <v>7814.3299999999945</v>
      </c>
      <c r="F11" s="74">
        <v>3.23</v>
      </c>
      <c r="G11" s="76">
        <f>SUM(G4:G9)</f>
        <v>25240.285899999984</v>
      </c>
      <c r="H11" s="114">
        <f>G11/C11</f>
        <v>0.57081215200980562</v>
      </c>
    </row>
    <row r="12" spans="1:10" ht="33" customHeight="1" x14ac:dyDescent="0.2">
      <c r="H12" s="81"/>
    </row>
    <row r="13" spans="1:10" ht="33" customHeight="1" x14ac:dyDescent="0.2">
      <c r="H13" s="81"/>
    </row>
    <row r="14" spans="1:10" ht="33" customHeight="1" x14ac:dyDescent="0.2">
      <c r="H14" s="81"/>
    </row>
    <row r="15" spans="1:10" ht="33" customHeight="1" x14ac:dyDescent="0.2">
      <c r="H15" s="81"/>
    </row>
    <row r="16" spans="1:10" ht="33" customHeight="1" x14ac:dyDescent="0.2">
      <c r="H16" s="81"/>
    </row>
    <row r="17" spans="1:11" ht="33" customHeight="1" x14ac:dyDescent="0.2">
      <c r="H17" s="81"/>
    </row>
    <row r="18" spans="1:11" ht="33" customHeight="1" x14ac:dyDescent="0.2">
      <c r="H18" s="81"/>
    </row>
    <row r="19" spans="1:11" ht="33" customHeight="1" x14ac:dyDescent="0.2">
      <c r="H19" s="81"/>
    </row>
    <row r="20" spans="1:11" ht="33" customHeight="1" x14ac:dyDescent="0.2">
      <c r="H20" s="81"/>
    </row>
    <row r="21" spans="1:11" ht="33" customHeight="1" x14ac:dyDescent="0.2">
      <c r="H21" s="81"/>
    </row>
    <row r="22" spans="1:11" ht="23.25" customHeight="1" x14ac:dyDescent="0.2">
      <c r="A22" t="s">
        <v>81</v>
      </c>
      <c r="H22" s="80">
        <f>'Общ. счетчики'!B63</f>
        <v>158970</v>
      </c>
      <c r="I22" s="80"/>
    </row>
    <row r="23" spans="1:11" ht="23.25" customHeight="1" x14ac:dyDescent="0.2">
      <c r="A23" t="s">
        <v>88</v>
      </c>
      <c r="H23" s="82" t="e">
        <f>SUM(H24:H27)</f>
        <v>#REF!</v>
      </c>
      <c r="I23" s="90"/>
    </row>
    <row r="24" spans="1:11" ht="15" customHeight="1" x14ac:dyDescent="0.2">
      <c r="A24" s="65" t="s">
        <v>48</v>
      </c>
      <c r="H24" s="84" t="e">
        <f>#REF!+#REF!</f>
        <v>#REF!</v>
      </c>
      <c r="I24" s="90"/>
      <c r="K24" s="88"/>
    </row>
    <row r="25" spans="1:11" ht="15" customHeight="1" x14ac:dyDescent="0.2">
      <c r="A25" s="65" t="s">
        <v>49</v>
      </c>
      <c r="H25" s="84" t="e">
        <f>#REF!+#REF!+#REF!+#REF!</f>
        <v>#REF!</v>
      </c>
      <c r="I25" s="90"/>
    </row>
    <row r="26" spans="1:11" ht="15" customHeight="1" x14ac:dyDescent="0.2">
      <c r="A26" s="65" t="s">
        <v>50</v>
      </c>
      <c r="H26" s="84">
        <f>'корп. 3'!C7</f>
        <v>7660</v>
      </c>
      <c r="I26" s="90"/>
    </row>
    <row r="27" spans="1:11" ht="15" customHeight="1" x14ac:dyDescent="0.2">
      <c r="A27" s="65" t="s">
        <v>89</v>
      </c>
      <c r="H27" s="84" t="e">
        <f>#REF!</f>
        <v>#REF!</v>
      </c>
      <c r="I27" s="90"/>
    </row>
    <row r="28" spans="1:11" ht="23.25" customHeight="1" x14ac:dyDescent="0.2">
      <c r="A28" s="13" t="s">
        <v>80</v>
      </c>
      <c r="H28" s="82">
        <f>'Общ. счетчики'!G45</f>
        <v>22500</v>
      </c>
      <c r="I28" s="90"/>
    </row>
    <row r="29" spans="1:11" ht="23.25" customHeight="1" x14ac:dyDescent="0.2">
      <c r="A29" t="s">
        <v>83</v>
      </c>
      <c r="H29" s="82">
        <f>G11</f>
        <v>25240.285899999984</v>
      </c>
      <c r="I29" s="90"/>
    </row>
    <row r="30" spans="1:11" ht="23.25" customHeight="1" x14ac:dyDescent="0.2">
      <c r="A30" t="s">
        <v>82</v>
      </c>
      <c r="H30" s="83" t="e">
        <f>SUM(H24:H29)</f>
        <v>#REF!</v>
      </c>
      <c r="I30" s="8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opLeftCell="C1" zoomScale="110" zoomScaleNormal="110" workbookViewId="0">
      <selection activeCell="F10" sqref="F10"/>
    </sheetView>
  </sheetViews>
  <sheetFormatPr defaultColWidth="9.140625" defaultRowHeight="33" customHeight="1" x14ac:dyDescent="0.2"/>
  <cols>
    <col min="1" max="1" width="6.5703125" style="66" customWidth="1"/>
    <col min="2" max="2" width="23.5703125" style="66" customWidth="1"/>
    <col min="3" max="3" width="10.140625" style="66" customWidth="1"/>
    <col min="4" max="4" width="15.85546875" style="66" customWidth="1"/>
    <col min="5" max="5" width="10.7109375" style="66" customWidth="1"/>
    <col min="6" max="6" width="11.42578125" style="66" customWidth="1"/>
    <col min="7" max="7" width="18.5703125" style="66" customWidth="1"/>
    <col min="8" max="8" width="39" style="66" customWidth="1"/>
    <col min="9" max="16384" width="9.140625" style="66"/>
  </cols>
  <sheetData>
    <row r="1" spans="1:8" ht="36.75" customHeight="1" x14ac:dyDescent="0.2">
      <c r="A1" s="111" t="s">
        <v>114</v>
      </c>
      <c r="B1" s="112"/>
      <c r="C1" s="112"/>
      <c r="D1" s="112"/>
      <c r="E1" s="112"/>
      <c r="F1" s="112"/>
      <c r="G1" s="112"/>
    </row>
    <row r="2" spans="1:8" ht="15" customHeight="1" x14ac:dyDescent="0.2">
      <c r="A2" s="149" t="s">
        <v>53</v>
      </c>
      <c r="B2" s="149" t="s">
        <v>54</v>
      </c>
      <c r="C2" s="149" t="s">
        <v>55</v>
      </c>
      <c r="D2" s="149" t="s">
        <v>56</v>
      </c>
      <c r="E2" s="149" t="s">
        <v>57</v>
      </c>
      <c r="F2" s="149"/>
      <c r="G2" s="149"/>
    </row>
    <row r="3" spans="1:8" ht="15" customHeight="1" x14ac:dyDescent="0.2">
      <c r="A3" s="149"/>
      <c r="B3" s="149"/>
      <c r="C3" s="149"/>
      <c r="D3" s="149"/>
      <c r="E3" s="149" t="s">
        <v>58</v>
      </c>
      <c r="F3" s="149"/>
      <c r="G3" s="149" t="s">
        <v>61</v>
      </c>
    </row>
    <row r="4" spans="1:8" ht="15" customHeight="1" x14ac:dyDescent="0.2">
      <c r="A4" s="149"/>
      <c r="B4" s="149"/>
      <c r="C4" s="149"/>
      <c r="D4" s="144"/>
      <c r="E4" s="77" t="s">
        <v>59</v>
      </c>
      <c r="F4" s="77" t="s">
        <v>60</v>
      </c>
      <c r="G4" s="149"/>
    </row>
    <row r="5" spans="1:8" ht="17.25" customHeight="1" x14ac:dyDescent="0.2">
      <c r="A5" s="67" t="s">
        <v>64</v>
      </c>
      <c r="B5" s="68" t="s">
        <v>62</v>
      </c>
      <c r="C5" s="78" t="s">
        <v>63</v>
      </c>
      <c r="D5" s="103">
        <v>95792</v>
      </c>
      <c r="E5" s="115">
        <f>526.44-E6-F6-G6</f>
        <v>430.35090000000008</v>
      </c>
      <c r="F5" s="68"/>
      <c r="G5" s="68"/>
    </row>
    <row r="6" spans="1:8" ht="21.75" customHeight="1" x14ac:dyDescent="0.2">
      <c r="A6" s="67" t="s">
        <v>64</v>
      </c>
      <c r="B6" s="68" t="s">
        <v>66</v>
      </c>
      <c r="C6" s="69" t="s">
        <v>63</v>
      </c>
      <c r="D6" s="79"/>
      <c r="E6" s="87">
        <f>E7*0.051</f>
        <v>67.840199999999982</v>
      </c>
      <c r="F6" s="87">
        <f>F7*0.051</f>
        <v>26.254800000000003</v>
      </c>
      <c r="G6" s="110">
        <f>G7*0.051</f>
        <v>1.9941</v>
      </c>
    </row>
    <row r="7" spans="1:8" ht="21.75" customHeight="1" x14ac:dyDescent="0.2">
      <c r="A7" s="67" t="s">
        <v>67</v>
      </c>
      <c r="B7" s="68" t="s">
        <v>68</v>
      </c>
      <c r="C7" s="69" t="s">
        <v>69</v>
      </c>
      <c r="D7" s="68"/>
      <c r="E7" s="116">
        <f>1845-F7</f>
        <v>1330.1999999999998</v>
      </c>
      <c r="F7" s="69">
        <f>143*3.6</f>
        <v>514.80000000000007</v>
      </c>
      <c r="G7" s="69">
        <v>39.1</v>
      </c>
    </row>
    <row r="8" spans="1:8" ht="12" customHeight="1" x14ac:dyDescent="0.2">
      <c r="A8" s="67" t="s">
        <v>67</v>
      </c>
      <c r="B8" s="68" t="s">
        <v>70</v>
      </c>
      <c r="C8" s="69" t="s">
        <v>69</v>
      </c>
      <c r="D8" s="113">
        <v>121942</v>
      </c>
      <c r="E8" s="116">
        <v>2499</v>
      </c>
      <c r="F8" s="69">
        <f>143*7.35</f>
        <v>1051.05</v>
      </c>
      <c r="G8" s="70">
        <v>39.1</v>
      </c>
      <c r="H8" s="107"/>
    </row>
    <row r="9" spans="1:8" ht="12" customHeight="1" x14ac:dyDescent="0.2">
      <c r="A9" s="67" t="s">
        <v>67</v>
      </c>
      <c r="B9" s="68" t="s">
        <v>71</v>
      </c>
      <c r="C9" s="69" t="s">
        <v>69</v>
      </c>
      <c r="D9" s="68"/>
      <c r="E9" s="87">
        <f>E7+E8</f>
        <v>3829.2</v>
      </c>
      <c r="F9" s="87">
        <f>F7+F8</f>
        <v>1565.85</v>
      </c>
      <c r="G9" s="70">
        <f>G7+G8</f>
        <v>78.2</v>
      </c>
    </row>
    <row r="10" spans="1:8" ht="12" customHeight="1" x14ac:dyDescent="0.2">
      <c r="A10" s="67" t="s">
        <v>65</v>
      </c>
      <c r="B10" s="68" t="s">
        <v>72</v>
      </c>
      <c r="C10" s="69" t="s">
        <v>51</v>
      </c>
      <c r="D10" s="100"/>
      <c r="E10" s="101" t="e">
        <f>'Норматив ээ'!H23-F10</f>
        <v>#REF!</v>
      </c>
      <c r="F10" s="102">
        <v>1615</v>
      </c>
      <c r="G10" s="106">
        <v>25240</v>
      </c>
    </row>
    <row r="11" spans="1:8" ht="15" customHeight="1" x14ac:dyDescent="0.2">
      <c r="E11" s="147"/>
      <c r="F11" s="148"/>
    </row>
    <row r="13" spans="1:8" ht="33" customHeight="1" x14ac:dyDescent="0.2">
      <c r="G13" s="105"/>
    </row>
    <row r="14" spans="1:8" ht="33" customHeight="1" x14ac:dyDescent="0.2">
      <c r="G14" s="105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Общ. счетчики</vt:lpstr>
      <vt:lpstr>корп. 3</vt:lpstr>
      <vt:lpstr>Норматив ээ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2020-10-27T12:54:37Z</cp:lastPrinted>
  <dcterms:created xsi:type="dcterms:W3CDTF">2010-02-17T17:09:47Z</dcterms:created>
  <dcterms:modified xsi:type="dcterms:W3CDTF">2020-11-23T06:20:57Z</dcterms:modified>
</cp:coreProperties>
</file>